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/>
  <mc:AlternateContent xmlns:mc="http://schemas.openxmlformats.org/markup-compatibility/2006">
    <mc:Choice Requires="x15">
      <x15ac:absPath xmlns:x15ac="http://schemas.microsoft.com/office/spreadsheetml/2010/11/ac" url="/Users/matthiasstumpp/Desktop/"/>
    </mc:Choice>
  </mc:AlternateContent>
  <bookViews>
    <workbookView xWindow="0" yWindow="460" windowWidth="30960" windowHeight="201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1" l="1"/>
  <c r="C39" i="1"/>
  <c r="C54" i="1"/>
  <c r="C53" i="1"/>
  <c r="C51" i="1"/>
  <c r="C65" i="1"/>
  <c r="C82" i="1"/>
  <c r="C83" i="1"/>
  <c r="C68" i="1"/>
  <c r="C67" i="1"/>
  <c r="C80" i="1"/>
  <c r="E6" i="1"/>
  <c r="C57" i="1"/>
  <c r="C38" i="1"/>
  <c r="C37" i="1"/>
  <c r="I36" i="1"/>
  <c r="E36" i="1"/>
  <c r="D36" i="1"/>
  <c r="F36" i="1"/>
  <c r="G36" i="1"/>
  <c r="H36" i="1"/>
  <c r="C36" i="1"/>
  <c r="J34" i="1"/>
  <c r="I34" i="1"/>
  <c r="I43" i="1"/>
  <c r="H34" i="1"/>
  <c r="G34" i="1"/>
  <c r="C34" i="1"/>
  <c r="C26" i="1"/>
  <c r="F34" i="1"/>
  <c r="E34" i="1"/>
  <c r="D34" i="1"/>
  <c r="D43" i="1"/>
  <c r="C44" i="1"/>
  <c r="D44" i="1"/>
  <c r="E44" i="1"/>
  <c r="D22" i="1"/>
  <c r="D23" i="1"/>
  <c r="F44" i="1"/>
  <c r="G44" i="1"/>
  <c r="H44" i="1"/>
  <c r="I44" i="1"/>
  <c r="J44" i="1"/>
  <c r="C48" i="1"/>
  <c r="D48" i="1"/>
  <c r="E48" i="1"/>
  <c r="F48" i="1"/>
  <c r="G48" i="1"/>
  <c r="H48" i="1"/>
  <c r="I48" i="1"/>
  <c r="C50" i="1"/>
  <c r="C52" i="1"/>
  <c r="C43" i="1"/>
  <c r="E43" i="1"/>
  <c r="F43" i="1"/>
  <c r="G43" i="1"/>
  <c r="H43" i="1"/>
  <c r="J43" i="1"/>
  <c r="C47" i="1"/>
  <c r="D47" i="1"/>
  <c r="E47" i="1"/>
  <c r="F47" i="1"/>
  <c r="G47" i="1"/>
  <c r="H47" i="1"/>
  <c r="I47" i="1"/>
  <c r="C49" i="1"/>
  <c r="C73" i="1"/>
  <c r="D73" i="1"/>
  <c r="E73" i="1"/>
  <c r="F73" i="1"/>
  <c r="G73" i="1"/>
  <c r="C77" i="1"/>
  <c r="D77" i="1"/>
  <c r="E77" i="1"/>
  <c r="F77" i="1"/>
  <c r="C79" i="1"/>
  <c r="C81" i="1"/>
  <c r="C72" i="1"/>
  <c r="D72" i="1"/>
  <c r="E72" i="1"/>
  <c r="F72" i="1"/>
  <c r="G72" i="1"/>
  <c r="C76" i="1"/>
  <c r="D76" i="1"/>
  <c r="E76" i="1"/>
  <c r="F76" i="1"/>
  <c r="C78" i="1"/>
  <c r="C58" i="1"/>
  <c r="D58" i="1"/>
  <c r="E58" i="1"/>
  <c r="F58" i="1"/>
  <c r="G58" i="1"/>
  <c r="C62" i="1"/>
  <c r="D62" i="1"/>
  <c r="E62" i="1"/>
  <c r="F62" i="1"/>
  <c r="C64" i="1"/>
  <c r="C66" i="1"/>
  <c r="D57" i="1"/>
  <c r="E57" i="1"/>
  <c r="F57" i="1"/>
  <c r="G57" i="1"/>
  <c r="C61" i="1"/>
  <c r="D61" i="1"/>
  <c r="E61" i="1"/>
  <c r="F61" i="1"/>
  <c r="C63" i="1"/>
  <c r="C10" i="1"/>
  <c r="C11" i="1"/>
  <c r="C12" i="1"/>
  <c r="D26" i="1"/>
  <c r="E26" i="1"/>
  <c r="F26" i="1"/>
  <c r="G26" i="1"/>
  <c r="H26" i="1"/>
  <c r="I26" i="1"/>
  <c r="C28" i="1"/>
  <c r="D28" i="1"/>
  <c r="E28" i="1"/>
  <c r="F28" i="1"/>
  <c r="G28" i="1"/>
  <c r="H28" i="1"/>
  <c r="C29" i="1"/>
  <c r="C30" i="1"/>
</calcChain>
</file>

<file path=xl/sharedStrings.xml><?xml version="1.0" encoding="utf-8"?>
<sst xmlns="http://schemas.openxmlformats.org/spreadsheetml/2006/main" count="78" uniqueCount="43">
  <si>
    <t>Barkauf</t>
  </si>
  <si>
    <t>Kauf in Monat</t>
  </si>
  <si>
    <t>Abschreibung / Jahr</t>
  </si>
  <si>
    <t>Listenpreis (inkl. Sonderausstattung)</t>
  </si>
  <si>
    <t>Abschreibung / Monat</t>
  </si>
  <si>
    <t>20% Abschreibungsbetrag</t>
  </si>
  <si>
    <t>Betriebsausgaben</t>
  </si>
  <si>
    <t>Leasing</t>
  </si>
  <si>
    <t>Dauer (in Monate)</t>
  </si>
  <si>
    <t>Erwartetes Einkommen</t>
  </si>
  <si>
    <t>Besteuerung</t>
  </si>
  <si>
    <t>Einmalige Sonderzahlung (30%)</t>
  </si>
  <si>
    <t>Betriebsausgaben (30%)</t>
  </si>
  <si>
    <t>Betriebsausgaben (40%)</t>
  </si>
  <si>
    <t>Einmalige Sonderzahlung (40%)</t>
  </si>
  <si>
    <t>Leasingrate (30%)</t>
  </si>
  <si>
    <t>Leasingrate (40%)</t>
  </si>
  <si>
    <t>Besteuerung (30%)</t>
  </si>
  <si>
    <t>Besteuerung (40%)</t>
  </si>
  <si>
    <t>Ssteuerersparnis (30%)</t>
  </si>
  <si>
    <t>Ssteuerersparnis (40%)</t>
  </si>
  <si>
    <t>Vario-Finanzierung</t>
  </si>
  <si>
    <t>Schlussrate</t>
  </si>
  <si>
    <t>Kaufpreis bei Kauf am Laufzeitende</t>
  </si>
  <si>
    <t>-</t>
  </si>
  <si>
    <t>Steuerersparnis (30%)</t>
  </si>
  <si>
    <t>Steuerersparnis (40%)</t>
  </si>
  <si>
    <t>Steuerersparnis</t>
  </si>
  <si>
    <t>Summe Steuerersparnis</t>
  </si>
  <si>
    <t>Summe Steuerersparnis (30%)</t>
  </si>
  <si>
    <t>Summe Steuerersparnis (40%)</t>
  </si>
  <si>
    <t>Vario-Finanzierung (ohne Kauf)</t>
  </si>
  <si>
    <t>Restlaufzeit</t>
  </si>
  <si>
    <t>Vario-Finanzierung (mit Kauf)</t>
  </si>
  <si>
    <t>Barkauf (mit Sonderabschreibung)</t>
  </si>
  <si>
    <t>Barkauf (ohne Sonderabschreibung)</t>
  </si>
  <si>
    <t>Private Ausgaben</t>
  </si>
  <si>
    <t>Private Ausgaben (30%)</t>
  </si>
  <si>
    <t>Private Ausgaben (40%)</t>
  </si>
  <si>
    <t>Steuerersparnis (30%) / Private Ausgaben</t>
  </si>
  <si>
    <t>Steuerersparnis (40%) / Private Ausgaben</t>
  </si>
  <si>
    <t>Steuerersparnis / Private Ausgaben</t>
  </si>
  <si>
    <t>https://www.bmf-steuerrechner.de/ekst/ekst.jsp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</si>
</sst>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333333"/>
      <name val="Calibri"/>
      <family val="2"/>
    </font>
    <font>
      <sz val="12"/>
      <color rgb="FF333333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Font="1"/>
    <xf numFmtId="2" fontId="0" fillId="0" borderId="0" xfId="0" applyNumberFormat="1"/>
    <xf numFmtId="4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0" fontId="4" fillId="0" borderId="0" xfId="0" applyFont="1"/>
    <xf numFmtId="2" fontId="1" fillId="0" borderId="0" xfId="0" applyNumberFormat="1" applyFont="1"/>
    <xf numFmtId="4" fontId="1" fillId="0" borderId="0" xfId="0" applyNumberFormat="1" applyFont="1"/>
    <xf numFmtId="0" fontId="1" fillId="0" borderId="0" xfId="0" applyFont="1" applyAlignment="1">
      <alignment horizontal="left"/>
    </xf>
    <xf numFmtId="4" fontId="0" fillId="0" borderId="0" xfId="0" applyNumberFormat="1" applyFont="1"/>
    <xf numFmtId="2" fontId="0" fillId="0" borderId="0" xfId="0" applyNumberFormat="1" applyFont="1"/>
    <xf numFmtId="0" fontId="7" fillId="0" borderId="0" xfId="0" applyFont="1"/>
    <xf numFmtId="2" fontId="7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2" borderId="0" xfId="0" applyNumberFormat="1" applyFont="1" applyFill="1"/>
    <xf numFmtId="4" fontId="6" fillId="3" borderId="0" xfId="0" applyNumberFormat="1" applyFont="1" applyFill="1"/>
    <xf numFmtId="4" fontId="0" fillId="3" borderId="0" xfId="0" applyNumberFormat="1" applyFill="1"/>
    <xf numFmtId="4" fontId="5" fillId="3" borderId="0" xfId="0" applyNumberFormat="1" applyFont="1" applyFill="1"/>
    <xf numFmtId="3" fontId="0" fillId="0" borderId="0" xfId="0" applyNumberFormat="1"/>
    <xf numFmtId="3" fontId="8" fillId="0" borderId="0" xfId="0" applyNumberFormat="1" applyFont="1"/>
    <xf numFmtId="4" fontId="1" fillId="4" borderId="0" xfId="0" applyNumberFormat="1" applyFont="1" applyFill="1"/>
    <xf numFmtId="4" fontId="1" fillId="0" borderId="0" xfId="0" applyNumberFormat="1" applyFont="1" applyFill="1"/>
    <xf numFmtId="0" fontId="1" fillId="0" borderId="0" xfId="0" applyFont="1" applyFill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5"/>
  <sheetViews>
    <sheetView tabSelected="1" showRuler="0" topLeftCell="A2" workbookViewId="0">
      <selection activeCell="D8" sqref="D8"/>
    </sheetView>
  </sheetViews>
  <sheetFormatPr baseColWidth="10" defaultRowHeight="16" x14ac:dyDescent="0.2"/>
  <cols>
    <col min="2" max="2" width="34.83203125" customWidth="1"/>
    <col min="3" max="3" width="14.6640625" customWidth="1"/>
    <col min="4" max="4" width="16.5" bestFit="1" customWidth="1"/>
    <col min="5" max="5" width="12.83203125" customWidth="1"/>
    <col min="6" max="6" width="12.1640625" bestFit="1" customWidth="1"/>
    <col min="7" max="7" width="12.6640625" customWidth="1"/>
    <col min="8" max="8" width="13.6640625" customWidth="1"/>
    <col min="9" max="9" width="12.6640625" customWidth="1"/>
  </cols>
  <sheetData>
    <row r="2" spans="2:10" x14ac:dyDescent="0.2">
      <c r="C2">
        <v>2017</v>
      </c>
      <c r="D2">
        <v>2018</v>
      </c>
      <c r="E2">
        <v>2019</v>
      </c>
      <c r="F2">
        <v>2020</v>
      </c>
      <c r="G2">
        <v>2021</v>
      </c>
      <c r="H2">
        <v>2022</v>
      </c>
      <c r="I2">
        <v>2023</v>
      </c>
    </row>
    <row r="3" spans="2:10" x14ac:dyDescent="0.2">
      <c r="B3" s="6" t="s">
        <v>9</v>
      </c>
      <c r="C3">
        <v>204000</v>
      </c>
      <c r="D3">
        <v>204000</v>
      </c>
      <c r="E3">
        <v>204000</v>
      </c>
      <c r="F3">
        <v>204000</v>
      </c>
      <c r="G3">
        <v>204000</v>
      </c>
      <c r="H3">
        <v>204000</v>
      </c>
      <c r="I3">
        <v>204000</v>
      </c>
    </row>
    <row r="4" spans="2:10" x14ac:dyDescent="0.2">
      <c r="B4" s="6" t="s">
        <v>10</v>
      </c>
      <c r="C4" s="3">
        <v>81450.22</v>
      </c>
      <c r="D4" s="3">
        <v>81450.22</v>
      </c>
      <c r="E4" s="3">
        <v>81450.22</v>
      </c>
      <c r="F4" s="3">
        <v>81450.22</v>
      </c>
      <c r="G4" s="3">
        <v>81450.22</v>
      </c>
      <c r="H4" s="3">
        <v>81450.22</v>
      </c>
      <c r="I4" s="3">
        <v>81450.22</v>
      </c>
    </row>
    <row r="6" spans="2:10" x14ac:dyDescent="0.2">
      <c r="B6" s="1" t="s">
        <v>3</v>
      </c>
      <c r="C6" s="1">
        <v>39070</v>
      </c>
      <c r="D6" s="20">
        <v>24331</v>
      </c>
      <c r="E6" s="19">
        <f>C6-D6</f>
        <v>14739</v>
      </c>
      <c r="J6" t="s">
        <v>42</v>
      </c>
    </row>
    <row r="7" spans="2:10" x14ac:dyDescent="0.2">
      <c r="B7" s="1"/>
      <c r="C7" s="1"/>
    </row>
    <row r="8" spans="2:10" x14ac:dyDescent="0.2">
      <c r="B8" s="5" t="s">
        <v>0</v>
      </c>
      <c r="C8" s="1"/>
    </row>
    <row r="9" spans="2:10" x14ac:dyDescent="0.2">
      <c r="B9" t="s">
        <v>1</v>
      </c>
      <c r="C9">
        <v>7</v>
      </c>
    </row>
    <row r="10" spans="2:10" x14ac:dyDescent="0.2">
      <c r="B10" t="s">
        <v>2</v>
      </c>
      <c r="C10" s="2">
        <f>C6/6</f>
        <v>6511.666666666667</v>
      </c>
    </row>
    <row r="11" spans="2:10" x14ac:dyDescent="0.2">
      <c r="B11" t="s">
        <v>4</v>
      </c>
      <c r="C11" s="2">
        <f>C10/12</f>
        <v>542.63888888888891</v>
      </c>
    </row>
    <row r="12" spans="2:10" x14ac:dyDescent="0.2">
      <c r="B12" s="12" t="s">
        <v>5</v>
      </c>
      <c r="C12" s="13">
        <f>C6*0.2</f>
        <v>7814</v>
      </c>
    </row>
    <row r="13" spans="2:10" x14ac:dyDescent="0.2">
      <c r="C13" s="2"/>
    </row>
    <row r="14" spans="2:10" x14ac:dyDescent="0.2">
      <c r="B14" s="5" t="s">
        <v>7</v>
      </c>
      <c r="C14" s="2" t="s">
        <v>7</v>
      </c>
      <c r="D14" t="s">
        <v>21</v>
      </c>
    </row>
    <row r="15" spans="2:10" x14ac:dyDescent="0.2">
      <c r="B15" t="s">
        <v>11</v>
      </c>
      <c r="C15" s="2">
        <v>11721</v>
      </c>
      <c r="D15" s="10">
        <v>11721</v>
      </c>
    </row>
    <row r="16" spans="2:10" x14ac:dyDescent="0.2">
      <c r="B16" t="s">
        <v>14</v>
      </c>
      <c r="C16" s="2">
        <v>15628</v>
      </c>
      <c r="D16" s="10">
        <v>15628</v>
      </c>
    </row>
    <row r="17" spans="2:10" x14ac:dyDescent="0.2">
      <c r="B17" t="s">
        <v>8</v>
      </c>
      <c r="C17" s="2">
        <v>36</v>
      </c>
      <c r="D17" s="11">
        <v>36</v>
      </c>
    </row>
    <row r="18" spans="2:10" x14ac:dyDescent="0.2">
      <c r="B18" t="s">
        <v>15</v>
      </c>
      <c r="C18" s="2">
        <v>187.15</v>
      </c>
      <c r="D18" s="1">
        <v>157.06</v>
      </c>
    </row>
    <row r="19" spans="2:10" x14ac:dyDescent="0.2">
      <c r="B19" t="s">
        <v>16</v>
      </c>
      <c r="C19" s="2">
        <v>71.5</v>
      </c>
      <c r="D19" s="1">
        <v>41.03</v>
      </c>
    </row>
    <row r="20" spans="2:10" x14ac:dyDescent="0.2">
      <c r="B20" t="s">
        <v>22</v>
      </c>
      <c r="C20" s="2" t="s">
        <v>24</v>
      </c>
      <c r="D20" s="10">
        <v>1172.0999999999999</v>
      </c>
    </row>
    <row r="21" spans="2:10" x14ac:dyDescent="0.2">
      <c r="B21" s="1" t="s">
        <v>23</v>
      </c>
      <c r="C21" s="2" t="s">
        <v>24</v>
      </c>
      <c r="D21" s="10">
        <v>18362.900000000001</v>
      </c>
    </row>
    <row r="22" spans="2:10" x14ac:dyDescent="0.2">
      <c r="B22" s="1" t="s">
        <v>32</v>
      </c>
      <c r="C22" s="2" t="s">
        <v>24</v>
      </c>
      <c r="D22" s="10">
        <f>72-D17</f>
        <v>36</v>
      </c>
    </row>
    <row r="23" spans="2:10" x14ac:dyDescent="0.2">
      <c r="B23" t="s">
        <v>4</v>
      </c>
      <c r="C23" s="2" t="s">
        <v>24</v>
      </c>
      <c r="D23" s="10">
        <f>D21/D22</f>
        <v>510.08055555555558</v>
      </c>
    </row>
    <row r="25" spans="2:10" x14ac:dyDescent="0.2">
      <c r="B25" s="5" t="s">
        <v>34</v>
      </c>
      <c r="C25">
        <v>2017</v>
      </c>
      <c r="D25">
        <v>2018</v>
      </c>
      <c r="E25">
        <v>2019</v>
      </c>
      <c r="F25">
        <v>2020</v>
      </c>
      <c r="G25">
        <v>2021</v>
      </c>
      <c r="H25">
        <v>2022</v>
      </c>
    </row>
    <row r="26" spans="2:10" x14ac:dyDescent="0.2">
      <c r="B26" s="4" t="s">
        <v>6</v>
      </c>
      <c r="C26">
        <f>(12-C9+1)*C11+C12</f>
        <v>11069.833333333334</v>
      </c>
      <c r="D26" s="2">
        <f>$C$10</f>
        <v>6511.666666666667</v>
      </c>
      <c r="E26" s="2">
        <f>$C$10</f>
        <v>6511.666666666667</v>
      </c>
      <c r="F26" s="2">
        <f>$C$10</f>
        <v>6511.666666666667</v>
      </c>
      <c r="G26" s="2">
        <f>$C$10</f>
        <v>6511.666666666667</v>
      </c>
      <c r="H26" s="2">
        <f>C6-SUM(C26:G26)</f>
        <v>1953.5</v>
      </c>
      <c r="I26" s="7">
        <f>SUM(C26:H26)</f>
        <v>39070</v>
      </c>
    </row>
    <row r="27" spans="2:10" x14ac:dyDescent="0.2">
      <c r="B27" s="4" t="s">
        <v>10</v>
      </c>
      <c r="C27" s="17">
        <v>76545.52</v>
      </c>
      <c r="D27" s="18">
        <v>78564.789999999994</v>
      </c>
      <c r="E27" s="18">
        <v>78564.789999999994</v>
      </c>
      <c r="F27" s="18">
        <v>78564.789999999994</v>
      </c>
      <c r="G27" s="18">
        <v>78564.789999999994</v>
      </c>
      <c r="H27" s="16">
        <v>80584.06</v>
      </c>
      <c r="I27" s="2"/>
    </row>
    <row r="28" spans="2:10" x14ac:dyDescent="0.2">
      <c r="B28" s="4" t="s">
        <v>27</v>
      </c>
      <c r="C28" s="3">
        <f>C4-C27</f>
        <v>4904.6999999999971</v>
      </c>
      <c r="D28" s="3">
        <f t="shared" ref="D28:H28" si="0">D4-D27</f>
        <v>2885.4300000000076</v>
      </c>
      <c r="E28" s="3">
        <f t="shared" si="0"/>
        <v>2885.4300000000076</v>
      </c>
      <c r="F28" s="3">
        <f t="shared" si="0"/>
        <v>2885.4300000000076</v>
      </c>
      <c r="G28" s="3">
        <f t="shared" si="0"/>
        <v>2885.4300000000076</v>
      </c>
      <c r="H28" s="3">
        <f t="shared" si="0"/>
        <v>866.16000000000349</v>
      </c>
      <c r="I28" s="7"/>
      <c r="J28" s="7"/>
    </row>
    <row r="29" spans="2:10" x14ac:dyDescent="0.2">
      <c r="B29" s="14" t="s">
        <v>28</v>
      </c>
      <c r="C29" s="8">
        <f>SUM(C28:H28)</f>
        <v>17312.580000000031</v>
      </c>
      <c r="D29" s="2"/>
      <c r="E29" s="2"/>
      <c r="F29" s="2"/>
      <c r="G29" s="2"/>
      <c r="H29" s="2"/>
      <c r="I29" s="2"/>
    </row>
    <row r="30" spans="2:10" x14ac:dyDescent="0.2">
      <c r="B30" s="14" t="s">
        <v>36</v>
      </c>
      <c r="C30" s="15">
        <f>I26-C29</f>
        <v>21757.419999999969</v>
      </c>
      <c r="D30" s="2"/>
      <c r="E30" s="2"/>
      <c r="F30" s="2"/>
      <c r="G30" s="2"/>
      <c r="H30" s="2"/>
      <c r="I30" s="2"/>
    </row>
    <row r="31" spans="2:10" x14ac:dyDescent="0.2">
      <c r="B31" s="14" t="s">
        <v>41</v>
      </c>
      <c r="C31" s="8">
        <f>C29/C30</f>
        <v>0.79570923390733161</v>
      </c>
      <c r="D31" s="2"/>
      <c r="E31" s="2"/>
      <c r="F31" s="2"/>
      <c r="G31" s="2"/>
      <c r="H31" s="2"/>
      <c r="I31" s="2"/>
    </row>
    <row r="32" spans="2:10" x14ac:dyDescent="0.2">
      <c r="B32" s="14"/>
      <c r="C32" s="8"/>
      <c r="D32" s="2"/>
      <c r="E32" s="2"/>
      <c r="F32" s="2"/>
      <c r="G32" s="2"/>
      <c r="H32" s="2"/>
      <c r="I32" s="2"/>
    </row>
    <row r="33" spans="2:10" x14ac:dyDescent="0.2">
      <c r="B33" s="5" t="s">
        <v>35</v>
      </c>
      <c r="C33">
        <v>2017</v>
      </c>
      <c r="D33">
        <v>2018</v>
      </c>
      <c r="E33">
        <v>2019</v>
      </c>
      <c r="F33">
        <v>2020</v>
      </c>
      <c r="G33">
        <v>2021</v>
      </c>
      <c r="H33">
        <v>2022</v>
      </c>
      <c r="I33">
        <v>2023</v>
      </c>
    </row>
    <row r="34" spans="2:10" x14ac:dyDescent="0.2">
      <c r="B34" s="4" t="s">
        <v>6</v>
      </c>
      <c r="C34" s="1">
        <f>(12-C9+1)*C11</f>
        <v>3255.8333333333335</v>
      </c>
      <c r="D34" s="11">
        <f>$C$10</f>
        <v>6511.666666666667</v>
      </c>
      <c r="E34" s="11">
        <f>$C$10</f>
        <v>6511.666666666667</v>
      </c>
      <c r="F34" s="11">
        <f>$C$10</f>
        <v>6511.666666666667</v>
      </c>
      <c r="G34" s="11">
        <f>$C$10</f>
        <v>6511.666666666667</v>
      </c>
      <c r="H34" s="11">
        <f>$C$10</f>
        <v>6511.666666666667</v>
      </c>
      <c r="I34" s="11">
        <f>(12-C9+1)*C11</f>
        <v>3255.8333333333335</v>
      </c>
      <c r="J34" s="7">
        <f>SUM(C34:I34)</f>
        <v>39070.000000000007</v>
      </c>
    </row>
    <row r="35" spans="2:10" x14ac:dyDescent="0.2">
      <c r="B35" s="4" t="s">
        <v>10</v>
      </c>
      <c r="C35" s="16">
        <v>80008.03</v>
      </c>
      <c r="D35" s="16">
        <v>78564.789999999994</v>
      </c>
      <c r="E35" s="16">
        <v>78564.789999999994</v>
      </c>
      <c r="F35" s="16">
        <v>78564.789999999994</v>
      </c>
      <c r="G35" s="16">
        <v>78564.789999999994</v>
      </c>
      <c r="H35" s="16">
        <v>78564.789999999994</v>
      </c>
      <c r="I35" s="16">
        <v>80008.03</v>
      </c>
    </row>
    <row r="36" spans="2:10" x14ac:dyDescent="0.2">
      <c r="B36" s="4" t="s">
        <v>27</v>
      </c>
      <c r="C36" s="3">
        <f>C4-C35</f>
        <v>1442.1900000000023</v>
      </c>
      <c r="D36" s="3">
        <f t="shared" ref="D36:H36" si="1">D4-D35</f>
        <v>2885.4300000000076</v>
      </c>
      <c r="E36" s="3">
        <f>E4-E35</f>
        <v>2885.4300000000076</v>
      </c>
      <c r="F36" s="3">
        <f t="shared" si="1"/>
        <v>2885.4300000000076</v>
      </c>
      <c r="G36" s="3">
        <f t="shared" si="1"/>
        <v>2885.4300000000076</v>
      </c>
      <c r="H36" s="3">
        <f t="shared" si="1"/>
        <v>2885.4300000000076</v>
      </c>
      <c r="I36" s="3">
        <f>I4-I35</f>
        <v>1442.1900000000023</v>
      </c>
    </row>
    <row r="37" spans="2:10" x14ac:dyDescent="0.2">
      <c r="B37" s="14" t="s">
        <v>28</v>
      </c>
      <c r="C37" s="8">
        <f>SUM(C36:I36)</f>
        <v>17311.530000000042</v>
      </c>
      <c r="D37" s="2"/>
      <c r="E37" s="2"/>
      <c r="F37" s="2"/>
      <c r="G37" s="2"/>
      <c r="H37" s="2"/>
      <c r="I37" s="2"/>
    </row>
    <row r="38" spans="2:10" x14ac:dyDescent="0.2">
      <c r="B38" s="14" t="s">
        <v>36</v>
      </c>
      <c r="C38" s="15">
        <f>J34-C37</f>
        <v>21758.469999999965</v>
      </c>
      <c r="D38" s="2"/>
      <c r="E38" s="2"/>
      <c r="F38" s="2"/>
      <c r="G38" s="2"/>
      <c r="H38" s="2"/>
      <c r="I38" s="2"/>
    </row>
    <row r="39" spans="2:10" x14ac:dyDescent="0.2">
      <c r="B39" s="14" t="s">
        <v>41</v>
      </c>
      <c r="C39" s="8">
        <f>C37/C38</f>
        <v>0.7956225782419476</v>
      </c>
      <c r="D39" s="2"/>
      <c r="E39" s="2"/>
      <c r="F39" s="2"/>
      <c r="G39" s="2"/>
      <c r="H39" s="2"/>
      <c r="I39" s="2"/>
    </row>
    <row r="40" spans="2:10" x14ac:dyDescent="0.2">
      <c r="B40" s="14"/>
      <c r="C40" s="8"/>
      <c r="D40" s="2"/>
      <c r="E40" s="2"/>
      <c r="F40" s="2"/>
      <c r="G40" s="2"/>
      <c r="H40" s="2"/>
      <c r="I40" s="2"/>
    </row>
    <row r="41" spans="2:10" x14ac:dyDescent="0.2">
      <c r="B41" s="14"/>
      <c r="C41" s="8"/>
      <c r="D41" s="2"/>
      <c r="E41" s="2"/>
      <c r="F41" s="2"/>
      <c r="G41" s="2"/>
      <c r="H41" s="2"/>
      <c r="I41" s="2"/>
    </row>
    <row r="42" spans="2:10" x14ac:dyDescent="0.2">
      <c r="B42" s="9" t="s">
        <v>33</v>
      </c>
      <c r="C42">
        <v>2017</v>
      </c>
      <c r="D42">
        <v>2018</v>
      </c>
      <c r="E42">
        <v>2019</v>
      </c>
      <c r="F42">
        <v>2020</v>
      </c>
      <c r="G42">
        <v>2021</v>
      </c>
      <c r="H42">
        <v>2022</v>
      </c>
      <c r="I42">
        <v>2023</v>
      </c>
    </row>
    <row r="43" spans="2:10" x14ac:dyDescent="0.2">
      <c r="B43" s="4" t="s">
        <v>12</v>
      </c>
      <c r="C43">
        <f>D15+(12-C9+1)*D18</f>
        <v>12663.36</v>
      </c>
      <c r="D43">
        <f>12*D18</f>
        <v>1884.72</v>
      </c>
      <c r="E43">
        <f>12*D18</f>
        <v>1884.72</v>
      </c>
      <c r="F43">
        <f>(C9-2)*D18+D20+(12-C9+1)*D23</f>
        <v>5017.8833333333332</v>
      </c>
      <c r="G43">
        <f>12*D23</f>
        <v>6120.9666666666672</v>
      </c>
      <c r="H43">
        <f>12*D23</f>
        <v>6120.9666666666672</v>
      </c>
      <c r="I43">
        <f>(12-C9+1)*D23</f>
        <v>3060.4833333333336</v>
      </c>
      <c r="J43" s="5">
        <f>SUM(C43:I43)</f>
        <v>36753.100000000006</v>
      </c>
    </row>
    <row r="44" spans="2:10" x14ac:dyDescent="0.2">
      <c r="B44" s="4" t="s">
        <v>13</v>
      </c>
      <c r="C44">
        <f>D16+(12-C9+1)*D19</f>
        <v>15874.18</v>
      </c>
      <c r="D44">
        <f>12*D19</f>
        <v>492.36</v>
      </c>
      <c r="E44">
        <f>12*D19</f>
        <v>492.36</v>
      </c>
      <c r="F44">
        <f>(C9-2)*D19+D20+(12-C9+1)*D23</f>
        <v>4437.7333333333336</v>
      </c>
      <c r="G44">
        <f>12*D23</f>
        <v>6120.9666666666672</v>
      </c>
      <c r="H44">
        <f>12*D23</f>
        <v>6120.9666666666672</v>
      </c>
      <c r="I44">
        <f>(12-C9+1)*D23</f>
        <v>3060.4833333333336</v>
      </c>
      <c r="J44" s="5">
        <f>SUM(C44:I44)</f>
        <v>36599.050000000003</v>
      </c>
    </row>
    <row r="45" spans="2:10" x14ac:dyDescent="0.2">
      <c r="B45" s="4" t="s">
        <v>17</v>
      </c>
      <c r="C45" s="16">
        <v>75838.67</v>
      </c>
      <c r="D45" s="16">
        <v>80614.66</v>
      </c>
      <c r="E45" s="16">
        <v>80614.66</v>
      </c>
      <c r="F45" s="16">
        <v>79227.33</v>
      </c>
      <c r="G45" s="16">
        <v>78737.81</v>
      </c>
      <c r="H45" s="16">
        <v>78737.81</v>
      </c>
      <c r="I45" s="16">
        <v>80093.490000000005</v>
      </c>
    </row>
    <row r="46" spans="2:10" x14ac:dyDescent="0.2">
      <c r="B46" s="4" t="s">
        <v>18</v>
      </c>
      <c r="C46" s="16">
        <v>74416.53</v>
      </c>
      <c r="D46" s="16">
        <v>81231.83</v>
      </c>
      <c r="E46" s="16">
        <v>81231.83</v>
      </c>
      <c r="F46" s="16">
        <v>79483.7</v>
      </c>
      <c r="G46" s="16">
        <v>78737.81</v>
      </c>
      <c r="H46" s="16">
        <v>78737.81</v>
      </c>
      <c r="I46" s="16">
        <v>80093.490000000005</v>
      </c>
    </row>
    <row r="47" spans="2:10" x14ac:dyDescent="0.2">
      <c r="B47" s="4" t="s">
        <v>19</v>
      </c>
      <c r="C47" s="3">
        <f t="shared" ref="C47:I47" si="2">C4-C45</f>
        <v>5611.5500000000029</v>
      </c>
      <c r="D47" s="3">
        <f t="shared" si="2"/>
        <v>835.55999999999767</v>
      </c>
      <c r="E47" s="3">
        <f t="shared" si="2"/>
        <v>835.55999999999767</v>
      </c>
      <c r="F47" s="3">
        <f t="shared" si="2"/>
        <v>2222.8899999999994</v>
      </c>
      <c r="G47" s="3">
        <f t="shared" si="2"/>
        <v>2712.4100000000035</v>
      </c>
      <c r="H47" s="3">
        <f t="shared" si="2"/>
        <v>2712.4100000000035</v>
      </c>
      <c r="I47" s="3">
        <f t="shared" si="2"/>
        <v>1356.7299999999959</v>
      </c>
    </row>
    <row r="48" spans="2:10" x14ac:dyDescent="0.2">
      <c r="B48" s="4" t="s">
        <v>20</v>
      </c>
      <c r="C48" s="3">
        <f t="shared" ref="C48:I48" si="3">C4-C46</f>
        <v>7033.6900000000023</v>
      </c>
      <c r="D48" s="3">
        <f t="shared" si="3"/>
        <v>218.38999999999942</v>
      </c>
      <c r="E48" s="3">
        <f t="shared" si="3"/>
        <v>218.38999999999942</v>
      </c>
      <c r="F48" s="3">
        <f t="shared" si="3"/>
        <v>1966.5200000000041</v>
      </c>
      <c r="G48" s="3">
        <f t="shared" si="3"/>
        <v>2712.4100000000035</v>
      </c>
      <c r="H48" s="3">
        <f t="shared" si="3"/>
        <v>2712.4100000000035</v>
      </c>
      <c r="I48" s="3">
        <f t="shared" si="3"/>
        <v>1356.7299999999959</v>
      </c>
    </row>
    <row r="49" spans="2:9" x14ac:dyDescent="0.2">
      <c r="B49" s="14" t="s">
        <v>29</v>
      </c>
      <c r="C49" s="8">
        <f>SUM(C47:I47)</f>
        <v>16287.11</v>
      </c>
    </row>
    <row r="50" spans="2:9" x14ac:dyDescent="0.2">
      <c r="B50" s="14" t="s">
        <v>30</v>
      </c>
      <c r="C50" s="8">
        <f>SUM(C48:I48)</f>
        <v>16218.540000000008</v>
      </c>
    </row>
    <row r="51" spans="2:9" x14ac:dyDescent="0.2">
      <c r="B51" s="14" t="s">
        <v>37</v>
      </c>
      <c r="C51" s="15">
        <f>J43-C49</f>
        <v>20465.990000000005</v>
      </c>
    </row>
    <row r="52" spans="2:9" x14ac:dyDescent="0.2">
      <c r="B52" s="14" t="s">
        <v>38</v>
      </c>
      <c r="C52" s="15">
        <f>J44-C50</f>
        <v>20380.509999999995</v>
      </c>
    </row>
    <row r="53" spans="2:9" x14ac:dyDescent="0.2">
      <c r="B53" s="14" t="s">
        <v>39</v>
      </c>
      <c r="C53" s="5">
        <f>C49/C51</f>
        <v>0.79581344464645964</v>
      </c>
    </row>
    <row r="54" spans="2:9" x14ac:dyDescent="0.2">
      <c r="B54" s="14" t="s">
        <v>40</v>
      </c>
      <c r="C54" s="5">
        <f>C50/C52</f>
        <v>0.79578675901633533</v>
      </c>
    </row>
    <row r="56" spans="2:9" x14ac:dyDescent="0.2">
      <c r="B56" s="5" t="s">
        <v>7</v>
      </c>
      <c r="C56">
        <v>2017</v>
      </c>
      <c r="D56">
        <v>2018</v>
      </c>
      <c r="E56">
        <v>2019</v>
      </c>
      <c r="F56">
        <v>2020</v>
      </c>
    </row>
    <row r="57" spans="2:9" x14ac:dyDescent="0.2">
      <c r="B57" s="4" t="s">
        <v>12</v>
      </c>
      <c r="C57">
        <f>C15+(12-C9+1)*C18</f>
        <v>12843.9</v>
      </c>
      <c r="D57">
        <f>12*C18</f>
        <v>2245.8000000000002</v>
      </c>
      <c r="E57">
        <f>12*C18</f>
        <v>2245.8000000000002</v>
      </c>
      <c r="F57">
        <f>(C9-1)*C18</f>
        <v>1122.9000000000001</v>
      </c>
      <c r="G57" s="5">
        <f>SUM(C57:F57)</f>
        <v>18458.400000000001</v>
      </c>
    </row>
    <row r="58" spans="2:9" x14ac:dyDescent="0.2">
      <c r="B58" s="4" t="s">
        <v>13</v>
      </c>
      <c r="C58">
        <f>C16+(12-C9+1)*C19</f>
        <v>16057</v>
      </c>
      <c r="D58">
        <f>12*C19</f>
        <v>858</v>
      </c>
      <c r="E58">
        <f>12*C19</f>
        <v>858</v>
      </c>
      <c r="F58">
        <f>(C9-1)*C19</f>
        <v>429</v>
      </c>
      <c r="G58" s="5">
        <f>SUM(C58:F58)</f>
        <v>18202</v>
      </c>
    </row>
    <row r="59" spans="2:9" x14ac:dyDescent="0.2">
      <c r="B59" s="4" t="s">
        <v>17</v>
      </c>
      <c r="C59" s="16">
        <v>75759.55</v>
      </c>
      <c r="D59" s="16">
        <v>80455.350000000006</v>
      </c>
      <c r="E59" s="16">
        <v>80455.350000000006</v>
      </c>
      <c r="F59" s="16">
        <v>80952.259999999995</v>
      </c>
      <c r="I59" s="3"/>
    </row>
    <row r="60" spans="2:9" x14ac:dyDescent="0.2">
      <c r="B60" s="4" t="s">
        <v>18</v>
      </c>
      <c r="C60" s="16">
        <v>74335.3</v>
      </c>
      <c r="D60" s="16">
        <v>81070.42</v>
      </c>
      <c r="E60" s="16">
        <v>81070.42</v>
      </c>
      <c r="F60" s="16">
        <v>81260.320000000007</v>
      </c>
    </row>
    <row r="61" spans="2:9" x14ac:dyDescent="0.2">
      <c r="B61" s="4" t="s">
        <v>25</v>
      </c>
      <c r="C61" s="3">
        <f>C4-C59</f>
        <v>5690.6699999999983</v>
      </c>
      <c r="D61" s="3">
        <f>D4-D59</f>
        <v>994.86999999999534</v>
      </c>
      <c r="E61" s="3">
        <f>E4-E59</f>
        <v>994.86999999999534</v>
      </c>
      <c r="F61" s="3">
        <f>F4-F59</f>
        <v>497.9600000000064</v>
      </c>
      <c r="I61" s="8"/>
    </row>
    <row r="62" spans="2:9" x14ac:dyDescent="0.2">
      <c r="B62" s="4" t="s">
        <v>26</v>
      </c>
      <c r="C62" s="3">
        <f>C4-C60</f>
        <v>7114.9199999999983</v>
      </c>
      <c r="D62" s="3">
        <f>D4-D60</f>
        <v>379.80000000000291</v>
      </c>
      <c r="E62" s="3">
        <f>E4-E60</f>
        <v>379.80000000000291</v>
      </c>
      <c r="F62" s="3">
        <f>F4-F60</f>
        <v>189.89999999999418</v>
      </c>
      <c r="I62" s="8"/>
    </row>
    <row r="63" spans="2:9" x14ac:dyDescent="0.2">
      <c r="B63" s="14" t="s">
        <v>29</v>
      </c>
      <c r="C63" s="22">
        <f>SUM(C61:H61)</f>
        <v>8178.3699999999953</v>
      </c>
      <c r="D63" s="3"/>
      <c r="E63" s="3"/>
      <c r="I63" s="8"/>
    </row>
    <row r="64" spans="2:9" x14ac:dyDescent="0.2">
      <c r="B64" s="14" t="s">
        <v>30</v>
      </c>
      <c r="C64" s="8">
        <f>SUM(C62:H62)</f>
        <v>8064.4199999999983</v>
      </c>
      <c r="D64" s="3"/>
      <c r="E64" s="3"/>
      <c r="I64" s="8"/>
    </row>
    <row r="65" spans="2:9" x14ac:dyDescent="0.2">
      <c r="B65" s="14" t="s">
        <v>37</v>
      </c>
      <c r="C65" s="15">
        <f>G57-C63</f>
        <v>10280.030000000006</v>
      </c>
      <c r="D65" s="3"/>
      <c r="E65" s="3"/>
      <c r="I65" s="8"/>
    </row>
    <row r="66" spans="2:9" x14ac:dyDescent="0.2">
      <c r="B66" s="14" t="s">
        <v>38</v>
      </c>
      <c r="C66" s="15">
        <f>G58-C64</f>
        <v>10137.580000000002</v>
      </c>
      <c r="D66" s="3"/>
      <c r="E66" s="3"/>
      <c r="I66" s="8"/>
    </row>
    <row r="67" spans="2:9" x14ac:dyDescent="0.2">
      <c r="B67" s="14" t="s">
        <v>39</v>
      </c>
      <c r="C67" s="8">
        <f>C63/C65</f>
        <v>0.79555896237656798</v>
      </c>
      <c r="D67" s="3"/>
      <c r="E67" s="3"/>
      <c r="I67" s="8"/>
    </row>
    <row r="68" spans="2:9" x14ac:dyDescent="0.2">
      <c r="B68" s="14" t="s">
        <v>40</v>
      </c>
      <c r="C68" s="22">
        <f>C64/C66</f>
        <v>0.7954975447789312</v>
      </c>
      <c r="D68" s="3"/>
      <c r="E68" s="3"/>
      <c r="I68" s="8"/>
    </row>
    <row r="69" spans="2:9" x14ac:dyDescent="0.2">
      <c r="B69" s="4"/>
      <c r="C69" s="3"/>
      <c r="D69" s="3"/>
      <c r="E69" s="3"/>
      <c r="I69" s="8"/>
    </row>
    <row r="71" spans="2:9" x14ac:dyDescent="0.2">
      <c r="B71" s="9" t="s">
        <v>31</v>
      </c>
      <c r="C71">
        <v>2017</v>
      </c>
      <c r="D71">
        <v>2018</v>
      </c>
      <c r="E71">
        <v>2019</v>
      </c>
      <c r="F71">
        <v>2020</v>
      </c>
    </row>
    <row r="72" spans="2:9" x14ac:dyDescent="0.2">
      <c r="B72" s="4" t="s">
        <v>12</v>
      </c>
      <c r="C72">
        <f>D15+(12-C9+1)*D18</f>
        <v>12663.36</v>
      </c>
      <c r="D72">
        <f>12*D18</f>
        <v>1884.72</v>
      </c>
      <c r="E72">
        <f>12*D18</f>
        <v>1884.72</v>
      </c>
      <c r="F72">
        <f>(C9-2)*D18+D20</f>
        <v>1957.3999999999999</v>
      </c>
      <c r="G72" s="5">
        <f>SUM(C72:F72)</f>
        <v>18390.2</v>
      </c>
    </row>
    <row r="73" spans="2:9" x14ac:dyDescent="0.2">
      <c r="B73" s="4" t="s">
        <v>13</v>
      </c>
      <c r="C73">
        <f>D16+(12-C9+1)*D19</f>
        <v>15874.18</v>
      </c>
      <c r="D73">
        <f>12*D19</f>
        <v>492.36</v>
      </c>
      <c r="E73">
        <f>12*D19</f>
        <v>492.36</v>
      </c>
      <c r="F73">
        <f>(C9-2)*D19+D20</f>
        <v>1377.25</v>
      </c>
      <c r="G73" s="5">
        <f>SUM(C73:F73)</f>
        <v>18236.150000000001</v>
      </c>
    </row>
    <row r="74" spans="2:9" x14ac:dyDescent="0.2">
      <c r="B74" s="4" t="s">
        <v>17</v>
      </c>
      <c r="C74" s="16">
        <v>75838.67</v>
      </c>
      <c r="D74" s="16">
        <v>80614.66</v>
      </c>
      <c r="E74" s="16">
        <v>80614.66</v>
      </c>
      <c r="F74" s="16">
        <v>80583.009999999995</v>
      </c>
    </row>
    <row r="75" spans="2:9" x14ac:dyDescent="0.2">
      <c r="B75" s="4" t="s">
        <v>18</v>
      </c>
      <c r="C75" s="16">
        <v>74416.53</v>
      </c>
      <c r="D75" s="16">
        <v>81231.83</v>
      </c>
      <c r="E75" s="16">
        <v>81231.83</v>
      </c>
      <c r="F75" s="16">
        <v>80839.37</v>
      </c>
    </row>
    <row r="76" spans="2:9" x14ac:dyDescent="0.2">
      <c r="B76" s="4" t="s">
        <v>25</v>
      </c>
      <c r="C76" s="3">
        <f>C4-C74</f>
        <v>5611.5500000000029</v>
      </c>
      <c r="D76" s="3">
        <f>D4-D74</f>
        <v>835.55999999999767</v>
      </c>
      <c r="E76" s="3">
        <f>E4-E74</f>
        <v>835.55999999999767</v>
      </c>
      <c r="F76" s="3">
        <f>F4-F74</f>
        <v>867.2100000000064</v>
      </c>
    </row>
    <row r="77" spans="2:9" x14ac:dyDescent="0.2">
      <c r="B77" s="4" t="s">
        <v>26</v>
      </c>
      <c r="C77" s="3">
        <f>C4-C75</f>
        <v>7033.6900000000023</v>
      </c>
      <c r="D77" s="3">
        <f>D4-D75</f>
        <v>218.38999999999942</v>
      </c>
      <c r="E77" s="3">
        <f>E4-E75</f>
        <v>218.38999999999942</v>
      </c>
      <c r="F77" s="3">
        <f>F4-F75</f>
        <v>610.85000000000582</v>
      </c>
    </row>
    <row r="78" spans="2:9" x14ac:dyDescent="0.2">
      <c r="B78" s="14" t="s">
        <v>29</v>
      </c>
      <c r="C78" s="22">
        <f>SUM(C76:F76)</f>
        <v>8149.8800000000047</v>
      </c>
    </row>
    <row r="79" spans="2:9" x14ac:dyDescent="0.2">
      <c r="B79" s="14" t="s">
        <v>30</v>
      </c>
      <c r="C79" s="8">
        <f>SUM(C77:F77)</f>
        <v>8081.320000000007</v>
      </c>
    </row>
    <row r="80" spans="2:9" x14ac:dyDescent="0.2">
      <c r="B80" s="14" t="s">
        <v>37</v>
      </c>
      <c r="C80" s="15">
        <f>G72-C78</f>
        <v>10240.319999999996</v>
      </c>
    </row>
    <row r="81" spans="2:3" x14ac:dyDescent="0.2">
      <c r="B81" s="14" t="s">
        <v>38</v>
      </c>
      <c r="C81" s="21">
        <f>G73-C79</f>
        <v>10154.829999999994</v>
      </c>
    </row>
    <row r="82" spans="2:3" x14ac:dyDescent="0.2">
      <c r="B82" s="14" t="s">
        <v>39</v>
      </c>
      <c r="C82" s="5">
        <f>C78/C80</f>
        <v>0.79586184806724869</v>
      </c>
    </row>
    <row r="83" spans="2:3" x14ac:dyDescent="0.2">
      <c r="B83" s="14" t="s">
        <v>40</v>
      </c>
      <c r="C83" s="23">
        <f>C79/C81</f>
        <v>0.79581046654646226</v>
      </c>
    </row>
    <row r="84" spans="2:3" x14ac:dyDescent="0.2">
      <c r="B84" s="14"/>
    </row>
    <row r="85" spans="2:3" x14ac:dyDescent="0.2">
      <c r="B85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2017-07-10T08:50:46Z</dcterms:created>
  <dcterms:modified xsi:type="dcterms:W3CDTF">2017-07-24T11:00:03Z</dcterms:modified>
</cp:coreProperties>
</file>